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ipeco\Desktop\STEFANIA\OPERAZIONE TRASPARENZA\DIRIGENTI\"/>
    </mc:Choice>
  </mc:AlternateContent>
  <bookViews>
    <workbookView xWindow="480" yWindow="45" windowWidth="11355" windowHeight="8445"/>
  </bookViews>
  <sheets>
    <sheet name="COSTO DIRIGENZA 2017" sheetId="5" r:id="rId1"/>
    <sheet name="Foglio1" sheetId="4" r:id="rId2"/>
  </sheets>
  <calcPr calcId="152511"/>
</workbook>
</file>

<file path=xl/calcChain.xml><?xml version="1.0" encoding="utf-8"?>
<calcChain xmlns="http://schemas.openxmlformats.org/spreadsheetml/2006/main">
  <c r="G20" i="5" l="1"/>
  <c r="G15" i="5"/>
  <c r="H10" i="5"/>
  <c r="H8" i="5"/>
  <c r="G8" i="5"/>
  <c r="N29" i="5"/>
  <c r="L17" i="5"/>
  <c r="K17" i="5"/>
  <c r="J17" i="5"/>
  <c r="F17" i="5"/>
  <c r="E17" i="5"/>
  <c r="L11" i="5"/>
  <c r="K11" i="5"/>
  <c r="J11" i="5"/>
  <c r="F11" i="5"/>
  <c r="E11" i="5"/>
  <c r="N33" i="5" l="1"/>
  <c r="M33" i="5"/>
  <c r="N32" i="5"/>
  <c r="M32" i="5"/>
  <c r="N31" i="5"/>
  <c r="M31" i="5"/>
  <c r="N30" i="5"/>
  <c r="M30" i="5"/>
  <c r="K6" i="5"/>
  <c r="J6" i="5"/>
  <c r="F6" i="5"/>
  <c r="E6" i="5"/>
  <c r="N34" i="5" l="1"/>
  <c r="M34" i="5"/>
  <c r="N6" i="5"/>
  <c r="K33" i="5"/>
  <c r="J33" i="5"/>
  <c r="H33" i="5"/>
  <c r="G33" i="5"/>
  <c r="E33" i="5"/>
  <c r="E32" i="5"/>
  <c r="E31" i="5"/>
  <c r="E30" i="5"/>
  <c r="F33" i="5"/>
  <c r="H17" i="5"/>
  <c r="O33" i="5" l="1"/>
  <c r="K9" i="5"/>
  <c r="J9" i="5"/>
  <c r="G34" i="5"/>
  <c r="L32" i="5"/>
  <c r="J32" i="5"/>
  <c r="H32" i="5"/>
  <c r="F32" i="5"/>
  <c r="L31" i="5"/>
  <c r="K31" i="5"/>
  <c r="J31" i="5"/>
  <c r="I31" i="5"/>
  <c r="H31" i="5"/>
  <c r="F31" i="5"/>
  <c r="L30" i="5"/>
  <c r="K30" i="5"/>
  <c r="J30" i="5"/>
  <c r="I30" i="5"/>
  <c r="H30" i="5"/>
  <c r="F30" i="5"/>
  <c r="K21" i="5"/>
  <c r="K20" i="5"/>
  <c r="K19" i="5"/>
  <c r="H19" i="5"/>
  <c r="K16" i="5"/>
  <c r="K15" i="5"/>
  <c r="K14" i="5"/>
  <c r="K13" i="5"/>
  <c r="K12" i="5"/>
  <c r="K10" i="5"/>
  <c r="K7" i="5"/>
  <c r="K5" i="5"/>
  <c r="H5" i="5"/>
  <c r="J7" i="5"/>
  <c r="L21" i="5"/>
  <c r="J21" i="5"/>
  <c r="I21" i="5"/>
  <c r="H21" i="5"/>
  <c r="F21" i="5"/>
  <c r="E21" i="5"/>
  <c r="L20" i="5"/>
  <c r="J20" i="5"/>
  <c r="F20" i="5"/>
  <c r="E20" i="5"/>
  <c r="L19" i="5"/>
  <c r="J19" i="5"/>
  <c r="F19" i="5"/>
  <c r="E19" i="5"/>
  <c r="L18" i="5"/>
  <c r="K18" i="5"/>
  <c r="J18" i="5"/>
  <c r="I18" i="5"/>
  <c r="H18" i="5"/>
  <c r="F18" i="5"/>
  <c r="E18" i="5"/>
  <c r="G17" i="5"/>
  <c r="L16" i="5"/>
  <c r="J16" i="5"/>
  <c r="H16" i="5"/>
  <c r="F16" i="5"/>
  <c r="E16" i="5"/>
  <c r="L15" i="5"/>
  <c r="J15" i="5"/>
  <c r="F15" i="5"/>
  <c r="E15" i="5"/>
  <c r="L14" i="5"/>
  <c r="J14" i="5"/>
  <c r="G14" i="5"/>
  <c r="F14" i="5"/>
  <c r="E14" i="5"/>
  <c r="L13" i="5"/>
  <c r="J13" i="5"/>
  <c r="F13" i="5"/>
  <c r="E13" i="5"/>
  <c r="L12" i="5"/>
  <c r="J12" i="5"/>
  <c r="G12" i="5"/>
  <c r="F12" i="5"/>
  <c r="E12" i="5"/>
  <c r="H11" i="5"/>
  <c r="G11" i="5"/>
  <c r="L10" i="5"/>
  <c r="J10" i="5"/>
  <c r="F10" i="5"/>
  <c r="E10" i="5"/>
  <c r="L9" i="5"/>
  <c r="F9" i="5"/>
  <c r="E9" i="5"/>
  <c r="L8" i="5"/>
  <c r="K8" i="5"/>
  <c r="J8" i="5"/>
  <c r="I8" i="5"/>
  <c r="F8" i="5"/>
  <c r="E8" i="5"/>
  <c r="L7" i="5"/>
  <c r="F7" i="5"/>
  <c r="E7" i="5"/>
  <c r="L5" i="5"/>
  <c r="J5" i="5"/>
  <c r="F5" i="5"/>
  <c r="E5" i="5"/>
  <c r="O5" i="4"/>
  <c r="N5" i="4"/>
  <c r="I5" i="4"/>
  <c r="G5" i="4"/>
  <c r="P5" i="4" s="1"/>
  <c r="O6" i="4"/>
  <c r="N6" i="4"/>
  <c r="P6" i="4" s="1"/>
  <c r="O29" i="5" l="1"/>
  <c r="O31" i="5"/>
  <c r="O30" i="5"/>
  <c r="O32" i="5"/>
  <c r="N5" i="5"/>
  <c r="N10" i="5"/>
  <c r="N11" i="5"/>
  <c r="N15" i="5"/>
  <c r="N16" i="5"/>
  <c r="N19" i="5"/>
  <c r="N20" i="5"/>
  <c r="N21" i="5"/>
  <c r="N12" i="5"/>
  <c r="N8" i="5"/>
  <c r="N9" i="5"/>
  <c r="N17" i="5"/>
  <c r="N18" i="5"/>
  <c r="N7" i="5"/>
  <c r="N13" i="5"/>
  <c r="N14" i="5"/>
  <c r="K34" i="5"/>
  <c r="L34" i="5"/>
  <c r="J34" i="5"/>
  <c r="E34" i="5"/>
  <c r="I34" i="5"/>
  <c r="F34" i="5"/>
  <c r="H34" i="5"/>
  <c r="E22" i="5"/>
  <c r="J22" i="5"/>
  <c r="H22" i="5"/>
  <c r="K22" i="5"/>
  <c r="F22" i="5"/>
  <c r="I22" i="5"/>
  <c r="L22" i="5"/>
  <c r="G22" i="5"/>
  <c r="O34" i="5" l="1"/>
  <c r="N22" i="5"/>
</calcChain>
</file>

<file path=xl/comments1.xml><?xml version="1.0" encoding="utf-8"?>
<comments xmlns="http://schemas.openxmlformats.org/spreadsheetml/2006/main">
  <authors>
    <author>l.franciotti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RIA € 69,98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<sst xmlns="http://schemas.openxmlformats.org/spreadsheetml/2006/main" count="131" uniqueCount="99">
  <si>
    <t>TOTALE</t>
  </si>
  <si>
    <t xml:space="preserve">RETR. POSIZIONE UNIFICATA </t>
  </si>
  <si>
    <t>FERNANDEZ</t>
  </si>
  <si>
    <t>ANTONIO</t>
  </si>
  <si>
    <t>ARIANO</t>
  </si>
  <si>
    <t>ANGELA</t>
  </si>
  <si>
    <t>RUZZI</t>
  </si>
  <si>
    <t>EDDA CESIRA</t>
  </si>
  <si>
    <t>PANICHI</t>
  </si>
  <si>
    <t>FRANCESCO</t>
  </si>
  <si>
    <t>RONZITTI</t>
  </si>
  <si>
    <t>VINCENZO</t>
  </si>
  <si>
    <t>CICCONETTI</t>
  </si>
  <si>
    <t>DANIELA</t>
  </si>
  <si>
    <t>FLAMMINI</t>
  </si>
  <si>
    <t>MANCINELLI</t>
  </si>
  <si>
    <t>GIOVANNA</t>
  </si>
  <si>
    <t>SCAMOSCI</t>
  </si>
  <si>
    <t>EMANUELA</t>
  </si>
  <si>
    <t>BIANCO</t>
  </si>
  <si>
    <t>SEBASTIANO</t>
  </si>
  <si>
    <t>COCCO</t>
  </si>
  <si>
    <t>ROBERTO</t>
  </si>
  <si>
    <t>FABRIZIO</t>
  </si>
  <si>
    <t>LENA</t>
  </si>
  <si>
    <t>VIRGINIA</t>
  </si>
  <si>
    <t>DETTI</t>
  </si>
  <si>
    <t>FEDERICO</t>
  </si>
  <si>
    <t>PETTINARI</t>
  </si>
  <si>
    <t>LUIGI</t>
  </si>
  <si>
    <t>LORENZO</t>
  </si>
  <si>
    <t>VESPA</t>
  </si>
  <si>
    <t>GIOVANNELLA</t>
  </si>
  <si>
    <t>CIALFI</t>
  </si>
  <si>
    <t>ROMANA</t>
  </si>
  <si>
    <t>CARLA</t>
  </si>
  <si>
    <t>RENZI</t>
  </si>
  <si>
    <t>ANNA</t>
  </si>
  <si>
    <t>ZIGRINO</t>
  </si>
  <si>
    <t>ANNA GRAZIA</t>
  </si>
  <si>
    <t>CAMPANELLA</t>
  </si>
  <si>
    <t>MAURO</t>
  </si>
  <si>
    <t>COGNOME</t>
  </si>
  <si>
    <t>NOME</t>
  </si>
  <si>
    <t>UPG</t>
  </si>
  <si>
    <t>DOMENICA C.</t>
  </si>
  <si>
    <t>N.</t>
  </si>
  <si>
    <t xml:space="preserve">DI CROCE </t>
  </si>
  <si>
    <t>LUCIANA</t>
  </si>
  <si>
    <t xml:space="preserve">RETRIBUZIONE TABELLARE </t>
  </si>
  <si>
    <t xml:space="preserve">INDENNITA' VACANZA CONTRATTUALE </t>
  </si>
  <si>
    <t xml:space="preserve">INDENNITA' STRUTTURA COMPLESSA </t>
  </si>
  <si>
    <t xml:space="preserve">RIA + ASSEGNO AD PERSONAM </t>
  </si>
  <si>
    <t xml:space="preserve">INDENNITA' SPECIFICA MEDICA </t>
  </si>
  <si>
    <t xml:space="preserve">RETR. POSIZIONE  VAR. AZIENDALE </t>
  </si>
  <si>
    <t xml:space="preserve">IND. ESCLUSIVITA' RAPPORTO </t>
  </si>
  <si>
    <t xml:space="preserve">RETR. POSIZ.  VAR. DIPARTIMENTALE </t>
  </si>
  <si>
    <t>COMPETENZE ACCESSORIE</t>
  </si>
  <si>
    <t>RATEO 13^</t>
  </si>
  <si>
    <t>COSTO DIRIGENTI IN ESONERO ANNO 2011</t>
  </si>
  <si>
    <t>GENTILE</t>
  </si>
  <si>
    <t xml:space="preserve">NATELLIS </t>
  </si>
  <si>
    <t>NOTE</t>
  </si>
  <si>
    <t>IN ESONERO DAL 11/04/2013</t>
  </si>
  <si>
    <t>RETRIBUZIONE TABELLARE LORDA COMPRESA 13^</t>
  </si>
  <si>
    <t>INDENNITA' VACANZA CONTRATTUALE  LORDA COMPRESA 13^</t>
  </si>
  <si>
    <t>INDENNITA' SPECIFICA MEDICA LORDA COMPRESA 13^</t>
  </si>
  <si>
    <t>RETR. POSIZIONE UNIFICATA LORDA COMPRESA 13^</t>
  </si>
  <si>
    <t>RETR. POSIZIONE  VAR. AZIENDALE LORDA COMPRESA 13^</t>
  </si>
  <si>
    <t>IND. ESCLUSIVITA' RAPPORTO LORDA COMPRESA 13^</t>
  </si>
  <si>
    <t>RETRIBUZIONE TABELLARE LORDA</t>
  </si>
  <si>
    <t>INDENNITA' VACANZA CONTRATTUALE LORDA</t>
  </si>
  <si>
    <t>INDENNITA' STRUTTURA COMPLESSA LORDA</t>
  </si>
  <si>
    <t>RIA + ASSEGNO AD PERSONAM LORDI</t>
  </si>
  <si>
    <t>INDENNITA' SPECIFICA MEDICA LORDA</t>
  </si>
  <si>
    <t>RETR. POSIZIONE UNIFICATA LORDA</t>
  </si>
  <si>
    <t>RETR. POSIZIONE  VAR. AZIENDALE + VARIABILE DIPARTIMENTALE LORDE</t>
  </si>
  <si>
    <t>IND. ESCLUSIVITA' RAPPORTO LORDA</t>
  </si>
  <si>
    <t>COMPETENZE ACCESSORIE LORDE</t>
  </si>
  <si>
    <t>RATEO 13^ LORDO</t>
  </si>
  <si>
    <t xml:space="preserve">TOTALE </t>
  </si>
  <si>
    <t>IN ESONERO DAL 31/12/2014</t>
  </si>
  <si>
    <t xml:space="preserve">CARNESALE </t>
  </si>
  <si>
    <t>IN ESONERO DAL 01/01/2014</t>
  </si>
  <si>
    <t xml:space="preserve">SPTA </t>
  </si>
  <si>
    <t>DIRIGENZA</t>
  </si>
  <si>
    <t>MEDICA</t>
  </si>
  <si>
    <t>ATTILI</t>
  </si>
  <si>
    <t>GIANFRANCO</t>
  </si>
  <si>
    <t>DIRIGENTE TEMPO DETERMINATO ASSUNTO DAL 13/07/2015</t>
  </si>
  <si>
    <t>RETRIBUZIONI DIRIGENTI ANNO 2017</t>
  </si>
  <si>
    <t>RETRIBUZIONE DI RISULTATO RIFERITA ALL'ANNO 2016</t>
  </si>
  <si>
    <t xml:space="preserve"> €  7,162,16 COMPENSATA CON MAGGIORI SOMME EROGATE IN SEDE DI LIQUIDAZIONE PREAVVISO</t>
  </si>
  <si>
    <t>DECEDUTO IL 02/02/2017</t>
  </si>
  <si>
    <t>PENSIONE DAL 17/05/2017</t>
  </si>
  <si>
    <t>IN ESONERO DAL 01/08/2012 -  IN PENSIONE DAL 24/06/2017</t>
  </si>
  <si>
    <t>RETRIBUZIONI DIRIGENTI IN ESONERO ANNO 2017</t>
  </si>
  <si>
    <t>INDENNITA' STRUTTURA COMPLESSA LORDA COMPRESA 13^ SOSTITUZIONI</t>
  </si>
  <si>
    <t>RIA + ASSEGNO AD PERSONAM + INTERIM  LORDI COMPRESA 13^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</si>
</sst>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€&quot;\ #,##0.00;\-&quot;€&quot;\ #,##0.00"/>
    <numFmt numFmtId="164" formatCode="&quot;€&quot;\ #,##0.00"/>
  </numFmts>
  <fonts count="15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4" fontId="3" fillId="0" borderId="0" xfId="0" applyNumberFormat="1" applyFont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3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0" fontId="0" fillId="0" borderId="1" xfId="0" applyBorder="1"/>
    <xf numFmtId="0" fontId="13" fillId="2" borderId="4" xfId="0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0" fillId="0" borderId="3" xfId="0" applyBorder="1"/>
    <xf numFmtId="0" fontId="7" fillId="0" borderId="2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164" fontId="7" fillId="0" borderId="1" xfId="0" applyNumberFormat="1" applyFont="1" applyFill="1" applyBorder="1" applyAlignment="1">
      <alignment horizontal="center" wrapText="1"/>
    </xf>
    <xf numFmtId="7" fontId="7" fillId="0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8"/>
  <sheetViews>
    <sheetView tabSelected="1" topLeftCell="H1" zoomScaleNormal="100" workbookViewId="0">
      <selection activeCell="H21" sqref="H21"/>
    </sheetView>
  </sheetViews>
  <sheetFormatPr defaultRowHeight="12.75" x14ac:dyDescent="0.2"/>
  <cols>
    <col min="1" max="1" width="5.7109375" customWidth="1"/>
    <col min="2" max="2" width="12.7109375" customWidth="1"/>
    <col min="3" max="14" width="20.7109375" customWidth="1"/>
    <col min="15" max="15" width="21" customWidth="1"/>
    <col min="16" max="16" width="20.7109375" customWidth="1"/>
  </cols>
  <sheetData>
    <row r="2" spans="1:15" ht="20.25" x14ac:dyDescent="0.3">
      <c r="A2" s="1" t="s">
        <v>90</v>
      </c>
      <c r="B2" s="1"/>
      <c r="C2" s="2"/>
      <c r="D2" s="2"/>
      <c r="E2" s="2"/>
      <c r="F2" s="2"/>
      <c r="G2" s="2"/>
    </row>
    <row r="3" spans="1:15" ht="17.25" customHeight="1" x14ac:dyDescent="0.2"/>
    <row r="4" spans="1:15" ht="99" customHeight="1" x14ac:dyDescent="0.25">
      <c r="A4" s="20" t="s">
        <v>46</v>
      </c>
      <c r="B4" s="20" t="s">
        <v>85</v>
      </c>
      <c r="C4" s="20" t="s">
        <v>42</v>
      </c>
      <c r="D4" s="20" t="s">
        <v>43</v>
      </c>
      <c r="E4" s="20" t="s">
        <v>64</v>
      </c>
      <c r="F4" s="20" t="s">
        <v>65</v>
      </c>
      <c r="G4" s="20" t="s">
        <v>97</v>
      </c>
      <c r="H4" s="20" t="s">
        <v>98</v>
      </c>
      <c r="I4" s="20" t="s">
        <v>66</v>
      </c>
      <c r="J4" s="20" t="s">
        <v>67</v>
      </c>
      <c r="K4" s="20" t="s">
        <v>68</v>
      </c>
      <c r="L4" s="20" t="s">
        <v>69</v>
      </c>
      <c r="M4" s="20" t="s">
        <v>91</v>
      </c>
      <c r="N4" s="20" t="s">
        <v>80</v>
      </c>
      <c r="O4" s="20" t="s">
        <v>62</v>
      </c>
    </row>
    <row r="5" spans="1:15" ht="50.1" customHeight="1" x14ac:dyDescent="0.2">
      <c r="A5" s="19">
        <v>1</v>
      </c>
      <c r="B5" s="36" t="s">
        <v>84</v>
      </c>
      <c r="C5" s="18" t="s">
        <v>4</v>
      </c>
      <c r="D5" s="19" t="s">
        <v>5</v>
      </c>
      <c r="E5" s="21">
        <f>3331.61*13</f>
        <v>43310.93</v>
      </c>
      <c r="F5" s="21">
        <f>24.21*13</f>
        <v>314.73</v>
      </c>
      <c r="G5" s="17"/>
      <c r="H5" s="21">
        <f>28.92*13</f>
        <v>375.96000000000004</v>
      </c>
      <c r="I5" s="21"/>
      <c r="J5" s="21">
        <f>477.19*13</f>
        <v>6203.47</v>
      </c>
      <c r="K5" s="21">
        <f>676.66*13</f>
        <v>8796.58</v>
      </c>
      <c r="L5" s="21">
        <f>1015.16*13</f>
        <v>13197.08</v>
      </c>
      <c r="M5" s="21">
        <v>7242.99</v>
      </c>
      <c r="N5" s="21">
        <f>SUM(E5:M5)</f>
        <v>79441.740000000005</v>
      </c>
      <c r="O5" s="30"/>
    </row>
    <row r="6" spans="1:15" ht="50.1" customHeight="1" x14ac:dyDescent="0.2">
      <c r="A6" s="19">
        <v>2</v>
      </c>
      <c r="B6" s="36" t="s">
        <v>84</v>
      </c>
      <c r="C6" s="18" t="s">
        <v>87</v>
      </c>
      <c r="D6" s="19" t="s">
        <v>88</v>
      </c>
      <c r="E6" s="21">
        <f>3331.61*13</f>
        <v>43310.93</v>
      </c>
      <c r="F6" s="21">
        <f>24.21*13</f>
        <v>314.73</v>
      </c>
      <c r="G6" s="21">
        <v>4654.9399999999996</v>
      </c>
      <c r="H6" s="21"/>
      <c r="I6" s="21"/>
      <c r="J6" s="21">
        <f>(51.74*13)</f>
        <v>672.62</v>
      </c>
      <c r="K6" s="21">
        <f>(1179.03*13)</f>
        <v>15327.39</v>
      </c>
      <c r="L6" s="21"/>
      <c r="M6" s="21">
        <v>7627.99</v>
      </c>
      <c r="N6" s="21">
        <f t="shared" ref="N6:N21" si="0">SUM(E6:M6)</f>
        <v>71908.600000000006</v>
      </c>
      <c r="O6" s="37" t="s">
        <v>89</v>
      </c>
    </row>
    <row r="7" spans="1:15" ht="50.1" customHeight="1" x14ac:dyDescent="0.2">
      <c r="A7" s="19">
        <v>3</v>
      </c>
      <c r="B7" s="36" t="s">
        <v>84</v>
      </c>
      <c r="C7" s="18" t="s">
        <v>19</v>
      </c>
      <c r="D7" s="19" t="s">
        <v>20</v>
      </c>
      <c r="E7" s="21">
        <f t="shared" ref="E7:E21" si="1">3331.61*13</f>
        <v>43310.93</v>
      </c>
      <c r="F7" s="21">
        <f t="shared" ref="F7:F21" si="2">24.21*13</f>
        <v>314.73</v>
      </c>
      <c r="G7" s="17"/>
      <c r="H7" s="21"/>
      <c r="I7" s="21"/>
      <c r="J7" s="21">
        <f>477.19*13</f>
        <v>6203.47</v>
      </c>
      <c r="K7" s="21">
        <f>676.66*13</f>
        <v>8796.58</v>
      </c>
      <c r="L7" s="21">
        <f>1015.16*13</f>
        <v>13197.08</v>
      </c>
      <c r="M7" s="21">
        <v>7304.92</v>
      </c>
      <c r="N7" s="21">
        <f t="shared" si="0"/>
        <v>79127.710000000006</v>
      </c>
      <c r="O7" s="30"/>
    </row>
    <row r="8" spans="1:15" ht="50.1" customHeight="1" x14ac:dyDescent="0.2">
      <c r="A8" s="19">
        <v>4</v>
      </c>
      <c r="B8" s="36" t="s">
        <v>86</v>
      </c>
      <c r="C8" s="18" t="s">
        <v>40</v>
      </c>
      <c r="D8" s="19" t="s">
        <v>41</v>
      </c>
      <c r="E8" s="21">
        <f t="shared" si="1"/>
        <v>43310.93</v>
      </c>
      <c r="F8" s="21">
        <f t="shared" si="2"/>
        <v>314.73</v>
      </c>
      <c r="G8" s="21">
        <f>535.05*12</f>
        <v>6420.5999999999995</v>
      </c>
      <c r="H8" s="21">
        <f>(399.93*13)</f>
        <v>5199.09</v>
      </c>
      <c r="I8" s="21">
        <f>645.57*13</f>
        <v>8392.41</v>
      </c>
      <c r="J8" s="21">
        <f>510.51*13</f>
        <v>6636.63</v>
      </c>
      <c r="K8" s="21">
        <f>771.11*13</f>
        <v>10024.43</v>
      </c>
      <c r="L8" s="21">
        <f>1065.97*13</f>
        <v>13857.61</v>
      </c>
      <c r="M8" s="21">
        <v>12700</v>
      </c>
      <c r="N8" s="21">
        <f t="shared" si="0"/>
        <v>106856.43000000001</v>
      </c>
      <c r="O8" s="30"/>
    </row>
    <row r="9" spans="1:15" ht="50.1" customHeight="1" x14ac:dyDescent="0.2">
      <c r="A9" s="19">
        <v>5</v>
      </c>
      <c r="B9" s="36" t="s">
        <v>84</v>
      </c>
      <c r="C9" s="18" t="s">
        <v>12</v>
      </c>
      <c r="D9" s="19" t="s">
        <v>13</v>
      </c>
      <c r="E9" s="21">
        <f t="shared" si="1"/>
        <v>43310.93</v>
      </c>
      <c r="F9" s="21">
        <f t="shared" si="2"/>
        <v>314.73</v>
      </c>
      <c r="G9" s="17"/>
      <c r="H9" s="21"/>
      <c r="I9" s="21"/>
      <c r="J9" s="21">
        <f>460.95*13</f>
        <v>5992.3499999999995</v>
      </c>
      <c r="K9" s="21">
        <f>769.82*13</f>
        <v>10007.66</v>
      </c>
      <c r="L9" s="21">
        <f>1015.16*13</f>
        <v>13197.08</v>
      </c>
      <c r="M9" s="21">
        <v>7242.99</v>
      </c>
      <c r="N9" s="21">
        <f t="shared" si="0"/>
        <v>80065.740000000005</v>
      </c>
      <c r="O9" s="30"/>
    </row>
    <row r="10" spans="1:15" ht="50.1" customHeight="1" x14ac:dyDescent="0.2">
      <c r="A10" s="19">
        <v>6</v>
      </c>
      <c r="B10" s="36" t="s">
        <v>84</v>
      </c>
      <c r="C10" s="18" t="s">
        <v>21</v>
      </c>
      <c r="D10" s="19" t="s">
        <v>22</v>
      </c>
      <c r="E10" s="21">
        <f t="shared" si="1"/>
        <v>43310.93</v>
      </c>
      <c r="F10" s="21">
        <f t="shared" si="2"/>
        <v>314.73</v>
      </c>
      <c r="G10" s="40">
        <v>5333.22</v>
      </c>
      <c r="H10" s="21">
        <f>(154.58*13)</f>
        <v>2009.5400000000002</v>
      </c>
      <c r="I10" s="21"/>
      <c r="J10" s="21">
        <f>477.19*13</f>
        <v>6203.47</v>
      </c>
      <c r="K10" s="21">
        <f>676.66*13</f>
        <v>8796.58</v>
      </c>
      <c r="L10" s="21">
        <f>436.21*13</f>
        <v>5670.73</v>
      </c>
      <c r="M10" s="21">
        <v>12289.91</v>
      </c>
      <c r="N10" s="21">
        <f t="shared" si="0"/>
        <v>83929.11</v>
      </c>
      <c r="O10" s="30"/>
    </row>
    <row r="11" spans="1:15" ht="90.75" customHeight="1" x14ac:dyDescent="0.2">
      <c r="A11" s="19">
        <v>7</v>
      </c>
      <c r="B11" s="36" t="s">
        <v>84</v>
      </c>
      <c r="C11" s="18" t="s">
        <v>26</v>
      </c>
      <c r="D11" s="19" t="s">
        <v>27</v>
      </c>
      <c r="E11" s="21">
        <f>(3331.61*13)/12*1</f>
        <v>3609.2441666666668</v>
      </c>
      <c r="F11" s="21">
        <f>(24.21*13)/12</f>
        <v>26.227500000000003</v>
      </c>
      <c r="G11" s="21">
        <f>786*13</f>
        <v>10218</v>
      </c>
      <c r="H11" s="21">
        <f>105.96*13</f>
        <v>1377.48</v>
      </c>
      <c r="I11" s="21"/>
      <c r="J11" s="21">
        <f>(783.7*13)/12</f>
        <v>849.00833333333333</v>
      </c>
      <c r="K11" s="21">
        <f>(754.76*13)/12</f>
        <v>817.65666666666664</v>
      </c>
      <c r="L11" s="21">
        <f>(1421.03*13)/12</f>
        <v>1539.4491666666665</v>
      </c>
      <c r="M11" s="39" t="s">
        <v>92</v>
      </c>
      <c r="N11" s="21">
        <f t="shared" si="0"/>
        <v>18437.06583333333</v>
      </c>
      <c r="O11" s="37" t="s">
        <v>93</v>
      </c>
    </row>
    <row r="12" spans="1:15" ht="50.1" customHeight="1" x14ac:dyDescent="0.2">
      <c r="A12" s="19">
        <v>8</v>
      </c>
      <c r="B12" s="36" t="s">
        <v>84</v>
      </c>
      <c r="C12" s="18" t="s">
        <v>47</v>
      </c>
      <c r="D12" s="19" t="s">
        <v>48</v>
      </c>
      <c r="E12" s="21">
        <f t="shared" si="1"/>
        <v>43310.93</v>
      </c>
      <c r="F12" s="21">
        <f t="shared" si="2"/>
        <v>314.73</v>
      </c>
      <c r="G12" s="21">
        <f>786*13</f>
        <v>10218</v>
      </c>
      <c r="H12" s="21"/>
      <c r="I12" s="21"/>
      <c r="J12" s="21">
        <f>783.7*13</f>
        <v>10188.1</v>
      </c>
      <c r="K12" s="21">
        <f>754.76*13</f>
        <v>9811.8799999999992</v>
      </c>
      <c r="L12" s="21">
        <f>1421.03*13</f>
        <v>18473.39</v>
      </c>
      <c r="M12" s="21">
        <v>7885.35</v>
      </c>
      <c r="N12" s="21">
        <f t="shared" si="0"/>
        <v>100202.38</v>
      </c>
      <c r="O12" s="30"/>
    </row>
    <row r="13" spans="1:15" ht="50.1" customHeight="1" x14ac:dyDescent="0.2">
      <c r="A13" s="19">
        <v>9</v>
      </c>
      <c r="B13" s="36" t="s">
        <v>84</v>
      </c>
      <c r="C13" s="18" t="s">
        <v>14</v>
      </c>
      <c r="D13" s="19" t="s">
        <v>45</v>
      </c>
      <c r="E13" s="21">
        <f t="shared" si="1"/>
        <v>43310.93</v>
      </c>
      <c r="F13" s="21">
        <f t="shared" si="2"/>
        <v>314.73</v>
      </c>
      <c r="G13" s="17"/>
      <c r="H13" s="21"/>
      <c r="I13" s="21"/>
      <c r="J13" s="21">
        <f>357.18*13</f>
        <v>4643.34</v>
      </c>
      <c r="K13" s="21">
        <f>873.59*13</f>
        <v>11356.67</v>
      </c>
      <c r="L13" s="21">
        <f>1015.16*13</f>
        <v>13197.08</v>
      </c>
      <c r="M13" s="21">
        <v>7242.99</v>
      </c>
      <c r="N13" s="21">
        <f t="shared" si="0"/>
        <v>80065.740000000005</v>
      </c>
      <c r="O13" s="30"/>
    </row>
    <row r="14" spans="1:15" ht="50.1" customHeight="1" x14ac:dyDescent="0.2">
      <c r="A14" s="19">
        <v>10</v>
      </c>
      <c r="B14" s="36" t="s">
        <v>84</v>
      </c>
      <c r="C14" s="18" t="s">
        <v>24</v>
      </c>
      <c r="D14" s="19" t="s">
        <v>25</v>
      </c>
      <c r="E14" s="21">
        <f t="shared" si="1"/>
        <v>43310.93</v>
      </c>
      <c r="F14" s="21">
        <f t="shared" si="2"/>
        <v>314.73</v>
      </c>
      <c r="G14" s="21">
        <f>786*13</f>
        <v>10218</v>
      </c>
      <c r="H14" s="21"/>
      <c r="I14" s="21"/>
      <c r="J14" s="21">
        <f>491.59*13</f>
        <v>6390.67</v>
      </c>
      <c r="K14" s="21">
        <f>(1046.87*13)</f>
        <v>13609.309999999998</v>
      </c>
      <c r="L14" s="21">
        <f>1421.03*12</f>
        <v>17052.36</v>
      </c>
      <c r="M14" s="21">
        <v>7885.35</v>
      </c>
      <c r="N14" s="21">
        <f t="shared" si="0"/>
        <v>98781.35</v>
      </c>
      <c r="O14" s="30"/>
    </row>
    <row r="15" spans="1:15" ht="50.1" customHeight="1" x14ac:dyDescent="0.2">
      <c r="A15" s="19">
        <v>11</v>
      </c>
      <c r="B15" s="36" t="s">
        <v>84</v>
      </c>
      <c r="C15" s="18" t="s">
        <v>15</v>
      </c>
      <c r="D15" s="19" t="s">
        <v>16</v>
      </c>
      <c r="E15" s="21">
        <f t="shared" si="1"/>
        <v>43310.93</v>
      </c>
      <c r="F15" s="21">
        <f t="shared" si="2"/>
        <v>314.73</v>
      </c>
      <c r="G15" s="21">
        <f>2916.85</f>
        <v>2916.85</v>
      </c>
      <c r="H15" s="21"/>
      <c r="I15" s="21"/>
      <c r="J15" s="21">
        <f>634.97*13</f>
        <v>8254.61</v>
      </c>
      <c r="K15" s="21">
        <f>595.8*13</f>
        <v>7745.4</v>
      </c>
      <c r="L15" s="21">
        <f>1015.16*13</f>
        <v>13197.08</v>
      </c>
      <c r="M15" s="21">
        <v>7464.63</v>
      </c>
      <c r="N15" s="21">
        <f t="shared" si="0"/>
        <v>83204.23000000001</v>
      </c>
      <c r="O15" s="30"/>
    </row>
    <row r="16" spans="1:15" ht="50.1" customHeight="1" x14ac:dyDescent="0.2">
      <c r="A16" s="19">
        <v>12</v>
      </c>
      <c r="B16" s="36" t="s">
        <v>84</v>
      </c>
      <c r="C16" s="18" t="s">
        <v>8</v>
      </c>
      <c r="D16" s="19" t="s">
        <v>9</v>
      </c>
      <c r="E16" s="21">
        <f t="shared" si="1"/>
        <v>43310.93</v>
      </c>
      <c r="F16" s="21">
        <f t="shared" si="2"/>
        <v>314.73</v>
      </c>
      <c r="G16" s="17"/>
      <c r="H16" s="21">
        <f>34.72*13</f>
        <v>451.36</v>
      </c>
      <c r="I16" s="21"/>
      <c r="J16" s="21">
        <f>477.19*13</f>
        <v>6203.47</v>
      </c>
      <c r="K16" s="21">
        <f>676.66*13</f>
        <v>8796.58</v>
      </c>
      <c r="L16" s="21">
        <f>1015.16*13</f>
        <v>13197.08</v>
      </c>
      <c r="M16" s="21">
        <v>7242.99</v>
      </c>
      <c r="N16" s="21">
        <f t="shared" si="0"/>
        <v>79517.140000000014</v>
      </c>
      <c r="O16" s="30"/>
    </row>
    <row r="17" spans="1:16" ht="50.1" customHeight="1" x14ac:dyDescent="0.2">
      <c r="A17" s="19">
        <v>13</v>
      </c>
      <c r="B17" s="36" t="s">
        <v>84</v>
      </c>
      <c r="C17" s="18" t="s">
        <v>28</v>
      </c>
      <c r="D17" s="19" t="s">
        <v>29</v>
      </c>
      <c r="E17" s="21">
        <f>(3331.61*13)/12*5.5</f>
        <v>19850.842916666668</v>
      </c>
      <c r="F17" s="21">
        <f>(24.21*13)/12*5.5</f>
        <v>144.25125000000003</v>
      </c>
      <c r="G17" s="21">
        <f>786*13</f>
        <v>10218</v>
      </c>
      <c r="H17" s="21">
        <f>68.6*13</f>
        <v>891.8</v>
      </c>
      <c r="I17" s="21"/>
      <c r="J17" s="21">
        <f>(770.4*13)/12*5.5</f>
        <v>4590.2999999999993</v>
      </c>
      <c r="K17" s="21">
        <f>(768.06*13)/12*5.5</f>
        <v>4576.3575000000001</v>
      </c>
      <c r="L17" s="21">
        <f>(1421.03*13)/12*5.5</f>
        <v>8466.9704166666652</v>
      </c>
      <c r="M17" s="21">
        <v>8158.24</v>
      </c>
      <c r="N17" s="21">
        <f t="shared" si="0"/>
        <v>56896.762083333328</v>
      </c>
      <c r="O17" s="37" t="s">
        <v>94</v>
      </c>
    </row>
    <row r="18" spans="1:16" ht="50.1" customHeight="1" x14ac:dyDescent="0.2">
      <c r="A18" s="19">
        <v>14</v>
      </c>
      <c r="B18" s="36" t="s">
        <v>86</v>
      </c>
      <c r="C18" s="18" t="s">
        <v>36</v>
      </c>
      <c r="D18" s="19" t="s">
        <v>37</v>
      </c>
      <c r="E18" s="21">
        <f t="shared" si="1"/>
        <v>43310.93</v>
      </c>
      <c r="F18" s="21">
        <f t="shared" si="2"/>
        <v>314.73</v>
      </c>
      <c r="G18" s="17"/>
      <c r="H18" s="21">
        <f>437.01*13</f>
        <v>5681.13</v>
      </c>
      <c r="I18" s="21">
        <f>645.57*13</f>
        <v>8392.41</v>
      </c>
      <c r="J18" s="21">
        <f>510.51*13</f>
        <v>6636.63</v>
      </c>
      <c r="K18" s="21">
        <f>650.61*13</f>
        <v>8457.93</v>
      </c>
      <c r="L18" s="21">
        <f>1065.97*13</f>
        <v>13857.61</v>
      </c>
      <c r="M18" s="21">
        <v>13200</v>
      </c>
      <c r="N18" s="21">
        <f t="shared" si="0"/>
        <v>99851.37</v>
      </c>
      <c r="O18" s="30"/>
    </row>
    <row r="19" spans="1:16" ht="50.1" customHeight="1" x14ac:dyDescent="0.2">
      <c r="A19" s="19">
        <v>15</v>
      </c>
      <c r="B19" s="36" t="s">
        <v>84</v>
      </c>
      <c r="C19" s="18" t="s">
        <v>6</v>
      </c>
      <c r="D19" s="19" t="s">
        <v>7</v>
      </c>
      <c r="E19" s="21">
        <f t="shared" si="1"/>
        <v>43310.93</v>
      </c>
      <c r="F19" s="21">
        <f t="shared" si="2"/>
        <v>314.73</v>
      </c>
      <c r="G19" s="17"/>
      <c r="H19" s="21">
        <f>(69.98*13)</f>
        <v>909.74</v>
      </c>
      <c r="I19" s="21"/>
      <c r="J19" s="21">
        <f>477.19*13</f>
        <v>6203.47</v>
      </c>
      <c r="K19" s="21">
        <f>676.66*13</f>
        <v>8796.58</v>
      </c>
      <c r="L19" s="21">
        <f>1015.16*13</f>
        <v>13197.08</v>
      </c>
      <c r="M19" s="21">
        <v>7242.99</v>
      </c>
      <c r="N19" s="21">
        <f t="shared" si="0"/>
        <v>79975.520000000004</v>
      </c>
      <c r="O19" s="30"/>
    </row>
    <row r="20" spans="1:16" ht="50.1" customHeight="1" x14ac:dyDescent="0.2">
      <c r="A20" s="19">
        <v>16</v>
      </c>
      <c r="B20" s="36" t="s">
        <v>84</v>
      </c>
      <c r="C20" s="18" t="s">
        <v>17</v>
      </c>
      <c r="D20" s="19" t="s">
        <v>18</v>
      </c>
      <c r="E20" s="21">
        <f t="shared" si="1"/>
        <v>43310.93</v>
      </c>
      <c r="F20" s="21">
        <f t="shared" si="2"/>
        <v>314.73</v>
      </c>
      <c r="G20" s="21">
        <f>4726.34</f>
        <v>4726.34</v>
      </c>
      <c r="H20" s="21"/>
      <c r="I20" s="21"/>
      <c r="J20" s="21">
        <f>357.18*13</f>
        <v>4643.34</v>
      </c>
      <c r="K20" s="21">
        <f>873.19*13</f>
        <v>11351.470000000001</v>
      </c>
      <c r="L20" s="21">
        <f>1015.16*13</f>
        <v>13197.08</v>
      </c>
      <c r="M20" s="21">
        <v>7402.7</v>
      </c>
      <c r="N20" s="21">
        <f t="shared" si="0"/>
        <v>84946.59</v>
      </c>
      <c r="O20" s="30"/>
    </row>
    <row r="21" spans="1:16" ht="50.1" customHeight="1" x14ac:dyDescent="0.2">
      <c r="A21" s="19">
        <v>17</v>
      </c>
      <c r="B21" s="36" t="s">
        <v>86</v>
      </c>
      <c r="C21" s="18" t="s">
        <v>31</v>
      </c>
      <c r="D21" s="19" t="s">
        <v>32</v>
      </c>
      <c r="E21" s="21">
        <f t="shared" si="1"/>
        <v>43310.93</v>
      </c>
      <c r="F21" s="21">
        <f t="shared" si="2"/>
        <v>314.73</v>
      </c>
      <c r="G21" s="17"/>
      <c r="H21" s="21">
        <f>536.91*13</f>
        <v>6979.83</v>
      </c>
      <c r="I21" s="21">
        <f>645.57*13</f>
        <v>8392.41</v>
      </c>
      <c r="J21" s="21">
        <f>277.56*13</f>
        <v>3608.28</v>
      </c>
      <c r="K21" s="21">
        <f>876.29*13</f>
        <v>11391.77</v>
      </c>
      <c r="L21" s="21">
        <f>1065.97*13</f>
        <v>13857.61</v>
      </c>
      <c r="M21" s="21">
        <v>15100</v>
      </c>
      <c r="N21" s="21">
        <f t="shared" si="0"/>
        <v>102955.56000000001</v>
      </c>
      <c r="O21" s="30"/>
    </row>
    <row r="22" spans="1:16" ht="50.25" customHeight="1" x14ac:dyDescent="0.25">
      <c r="A22" s="22"/>
      <c r="B22" s="22"/>
      <c r="C22" s="22"/>
      <c r="D22" s="23" t="s">
        <v>0</v>
      </c>
      <c r="E22" s="24">
        <f>SUM(E5:E21)</f>
        <v>673124.03708333347</v>
      </c>
      <c r="F22" s="24">
        <f>SUM(F5:F21)</f>
        <v>4891.4287499999991</v>
      </c>
      <c r="G22" s="24">
        <f>SUM(G5:G21)</f>
        <v>64923.95</v>
      </c>
      <c r="H22" s="24">
        <f>SUM(H5:H21)</f>
        <v>23875.93</v>
      </c>
      <c r="I22" s="24">
        <f>SUM(I5:I21)</f>
        <v>25177.23</v>
      </c>
      <c r="J22" s="24">
        <f>SUM(J5:J21)</f>
        <v>94123.228333333347</v>
      </c>
      <c r="K22" s="24">
        <f>SUM(K5:K21)</f>
        <v>158460.82416666663</v>
      </c>
      <c r="L22" s="24">
        <f>SUM(L5:L21)</f>
        <v>198352.36958333332</v>
      </c>
      <c r="M22" s="24"/>
      <c r="N22" s="24">
        <f>SUM(N5:N21)</f>
        <v>1386163.0379166668</v>
      </c>
      <c r="O22" s="30"/>
    </row>
    <row r="24" spans="1:16" ht="14.25" x14ac:dyDescent="0.2">
      <c r="A24" s="16"/>
      <c r="B24" s="16"/>
      <c r="C24" s="27"/>
      <c r="D24" s="27"/>
    </row>
    <row r="26" spans="1:16" ht="20.25" x14ac:dyDescent="0.3">
      <c r="A26" s="1" t="s">
        <v>96</v>
      </c>
      <c r="B26" s="1"/>
      <c r="C26" s="1"/>
      <c r="D26" s="1"/>
    </row>
    <row r="28" spans="1:16" ht="75" x14ac:dyDescent="0.25">
      <c r="A28" s="11" t="s">
        <v>46</v>
      </c>
      <c r="B28" s="20" t="s">
        <v>85</v>
      </c>
      <c r="C28" s="11" t="s">
        <v>42</v>
      </c>
      <c r="D28" s="11" t="s">
        <v>43</v>
      </c>
      <c r="E28" s="11" t="s">
        <v>70</v>
      </c>
      <c r="F28" s="11" t="s">
        <v>71</v>
      </c>
      <c r="G28" s="11" t="s">
        <v>72</v>
      </c>
      <c r="H28" s="11" t="s">
        <v>73</v>
      </c>
      <c r="I28" s="11" t="s">
        <v>74</v>
      </c>
      <c r="J28" s="11" t="s">
        <v>75</v>
      </c>
      <c r="K28" s="11" t="s">
        <v>76</v>
      </c>
      <c r="L28" s="11" t="s">
        <v>77</v>
      </c>
      <c r="M28" s="11" t="s">
        <v>78</v>
      </c>
      <c r="N28" s="12" t="s">
        <v>79</v>
      </c>
      <c r="O28" s="12" t="s">
        <v>0</v>
      </c>
      <c r="P28" s="20" t="s">
        <v>62</v>
      </c>
    </row>
    <row r="29" spans="1:16" ht="50.1" customHeight="1" x14ac:dyDescent="0.2">
      <c r="A29" s="13">
        <v>1</v>
      </c>
      <c r="B29" s="36" t="s">
        <v>84</v>
      </c>
      <c r="C29" s="14" t="s">
        <v>60</v>
      </c>
      <c r="D29" s="14" t="s">
        <v>23</v>
      </c>
      <c r="E29" s="15">
        <v>13526.35</v>
      </c>
      <c r="F29" s="15">
        <v>98.31</v>
      </c>
      <c r="G29" s="25"/>
      <c r="H29" s="15"/>
      <c r="I29" s="15"/>
      <c r="J29" s="15">
        <v>1937.38</v>
      </c>
      <c r="K29" s="15">
        <v>2221.63</v>
      </c>
      <c r="L29" s="15">
        <v>4121.53</v>
      </c>
      <c r="M29" s="15">
        <v>2009.7</v>
      </c>
      <c r="N29" s="15">
        <f>1696.86+191.52</f>
        <v>1888.3799999999999</v>
      </c>
      <c r="O29" s="15">
        <f t="shared" ref="O29:O32" si="3">SUM(D29:N29)</f>
        <v>25803.280000000002</v>
      </c>
      <c r="P29" s="37" t="s">
        <v>95</v>
      </c>
    </row>
    <row r="30" spans="1:16" ht="50.1" customHeight="1" x14ac:dyDescent="0.2">
      <c r="A30" s="13">
        <v>2</v>
      </c>
      <c r="B30" s="36" t="s">
        <v>86</v>
      </c>
      <c r="C30" s="14" t="s">
        <v>61</v>
      </c>
      <c r="D30" s="14" t="s">
        <v>35</v>
      </c>
      <c r="E30" s="15">
        <f t="shared" ref="E30:E33" si="4">2332.13*12</f>
        <v>27985.56</v>
      </c>
      <c r="F30" s="15">
        <f>16.95*12</f>
        <v>203.39999999999998</v>
      </c>
      <c r="G30" s="15"/>
      <c r="H30" s="15">
        <f>322.78*12</f>
        <v>3873.3599999999997</v>
      </c>
      <c r="I30" s="15">
        <f>451.9*12</f>
        <v>5422.7999999999993</v>
      </c>
      <c r="J30" s="15">
        <f>357.36*12</f>
        <v>4288.32</v>
      </c>
      <c r="K30" s="15">
        <f>497.6*12</f>
        <v>5971.2000000000007</v>
      </c>
      <c r="L30" s="15">
        <f>746.18*12</f>
        <v>8954.16</v>
      </c>
      <c r="M30" s="15">
        <f>427.67*12</f>
        <v>5132.04</v>
      </c>
      <c r="N30" s="15">
        <f>((352.27+41.47)*12)</f>
        <v>4724.88</v>
      </c>
      <c r="O30" s="15">
        <f t="shared" si="3"/>
        <v>66555.72</v>
      </c>
      <c r="P30" s="37" t="s">
        <v>63</v>
      </c>
    </row>
    <row r="31" spans="1:16" ht="50.1" customHeight="1" x14ac:dyDescent="0.2">
      <c r="A31" s="13">
        <v>3</v>
      </c>
      <c r="B31" s="36" t="s">
        <v>86</v>
      </c>
      <c r="C31" s="31" t="s">
        <v>38</v>
      </c>
      <c r="D31" s="31" t="s">
        <v>39</v>
      </c>
      <c r="E31" s="15">
        <f t="shared" si="4"/>
        <v>27985.56</v>
      </c>
      <c r="F31" s="32">
        <f>16.95*12</f>
        <v>203.39999999999998</v>
      </c>
      <c r="G31" s="32"/>
      <c r="H31" s="32">
        <f>322.78*12</f>
        <v>3873.3599999999997</v>
      </c>
      <c r="I31" s="32">
        <f>451.9*12</f>
        <v>5422.7999999999993</v>
      </c>
      <c r="J31" s="32">
        <f>357.36*12</f>
        <v>4288.32</v>
      </c>
      <c r="K31" s="32">
        <f>497.6*12</f>
        <v>5971.2000000000007</v>
      </c>
      <c r="L31" s="32">
        <f>746.18*12</f>
        <v>8954.16</v>
      </c>
      <c r="M31" s="32">
        <f>427.67*12</f>
        <v>5132.04</v>
      </c>
      <c r="N31" s="32">
        <f>((352.27+41.47)*12)</f>
        <v>4724.88</v>
      </c>
      <c r="O31" s="32">
        <f t="shared" si="3"/>
        <v>66555.72</v>
      </c>
      <c r="P31" s="38" t="s">
        <v>63</v>
      </c>
    </row>
    <row r="32" spans="1:16" ht="50.1" customHeight="1" x14ac:dyDescent="0.2">
      <c r="A32" s="13">
        <v>4</v>
      </c>
      <c r="B32" s="36" t="s">
        <v>84</v>
      </c>
      <c r="C32" s="14" t="s">
        <v>82</v>
      </c>
      <c r="D32" s="14" t="s">
        <v>30</v>
      </c>
      <c r="E32" s="15">
        <f t="shared" si="4"/>
        <v>27985.56</v>
      </c>
      <c r="F32" s="15">
        <f>16.95*12</f>
        <v>203.39999999999998</v>
      </c>
      <c r="G32" s="15"/>
      <c r="H32" s="15">
        <f>27.97*12</f>
        <v>335.64</v>
      </c>
      <c r="I32" s="15"/>
      <c r="J32" s="15">
        <f>250.03*12</f>
        <v>3000.36</v>
      </c>
      <c r="K32" s="15"/>
      <c r="L32" s="15">
        <f>710.61*12</f>
        <v>8527.32</v>
      </c>
      <c r="M32" s="15">
        <f>319.79*12</f>
        <v>3837.4800000000005</v>
      </c>
      <c r="N32" s="15">
        <f>(278.14*12)</f>
        <v>3337.68</v>
      </c>
      <c r="O32" s="15">
        <f t="shared" si="3"/>
        <v>47227.44</v>
      </c>
      <c r="P32" s="37" t="s">
        <v>83</v>
      </c>
    </row>
    <row r="33" spans="1:16" ht="50.1" customHeight="1" x14ac:dyDescent="0.2">
      <c r="A33" s="13">
        <v>5</v>
      </c>
      <c r="B33" s="36" t="s">
        <v>84</v>
      </c>
      <c r="C33" s="14" t="s">
        <v>2</v>
      </c>
      <c r="D33" s="14" t="s">
        <v>3</v>
      </c>
      <c r="E33" s="15">
        <f t="shared" si="4"/>
        <v>27985.56</v>
      </c>
      <c r="F33" s="15">
        <f>16.95*12</f>
        <v>203.39999999999998</v>
      </c>
      <c r="G33" s="15">
        <f>550.2*12</f>
        <v>6602.4000000000005</v>
      </c>
      <c r="H33" s="15">
        <f>(227+1244.85)*70%*12</f>
        <v>12363.539999999997</v>
      </c>
      <c r="I33" s="15"/>
      <c r="J33" s="15">
        <f>(1234.68*70%)*12</f>
        <v>10371.312</v>
      </c>
      <c r="K33" s="15">
        <f>(303.78*70%)*12</f>
        <v>2551.7519999999995</v>
      </c>
      <c r="L33" s="15"/>
      <c r="M33" s="15">
        <f>541.92*12</f>
        <v>6503.0399999999991</v>
      </c>
      <c r="N33" s="15">
        <f>(399.49+17.72)*12</f>
        <v>5006.5200000000004</v>
      </c>
      <c r="O33" s="15">
        <f>SUM(D33:N33)</f>
        <v>71587.52399999999</v>
      </c>
      <c r="P33" s="37" t="s">
        <v>81</v>
      </c>
    </row>
    <row r="34" spans="1:16" ht="48.75" customHeight="1" x14ac:dyDescent="0.25">
      <c r="A34" s="16"/>
      <c r="B34" s="16"/>
      <c r="C34" s="16"/>
      <c r="D34" s="33" t="s">
        <v>0</v>
      </c>
      <c r="E34" s="34">
        <f t="shared" ref="E34:L34" si="5">SUM(E29:E33)</f>
        <v>125468.59</v>
      </c>
      <c r="F34" s="34">
        <f t="shared" si="5"/>
        <v>911.91</v>
      </c>
      <c r="G34" s="34">
        <f t="shared" si="5"/>
        <v>6602.4000000000005</v>
      </c>
      <c r="H34" s="34">
        <f t="shared" si="5"/>
        <v>20445.899999999998</v>
      </c>
      <c r="I34" s="34">
        <f t="shared" si="5"/>
        <v>10845.599999999999</v>
      </c>
      <c r="J34" s="34">
        <f t="shared" si="5"/>
        <v>23885.692000000003</v>
      </c>
      <c r="K34" s="34">
        <f t="shared" si="5"/>
        <v>16715.782000000003</v>
      </c>
      <c r="L34" s="34">
        <f t="shared" si="5"/>
        <v>30557.17</v>
      </c>
      <c r="M34" s="34">
        <f t="shared" ref="M34:O34" si="6">SUM(M29:M33)</f>
        <v>22614.299999999996</v>
      </c>
      <c r="N34" s="34">
        <f t="shared" si="6"/>
        <v>19682.34</v>
      </c>
      <c r="O34" s="34">
        <f t="shared" si="6"/>
        <v>277729.68400000001</v>
      </c>
      <c r="P34" s="35"/>
    </row>
    <row r="36" spans="1:16" ht="14.25" x14ac:dyDescent="0.2">
      <c r="A36" s="26"/>
      <c r="B36" s="26"/>
      <c r="C36" s="27"/>
      <c r="D36" s="27"/>
    </row>
    <row r="37" spans="1:16" ht="13.5" customHeight="1" x14ac:dyDescent="0.25">
      <c r="A37" s="28"/>
      <c r="B37" s="28"/>
      <c r="C37" s="28"/>
      <c r="D37" s="29"/>
      <c r="E37" s="10"/>
    </row>
    <row r="38" spans="1:16" ht="14.25" x14ac:dyDescent="0.2">
      <c r="A38" s="26"/>
      <c r="B38" s="26"/>
      <c r="C38" s="27"/>
      <c r="D38" s="27"/>
    </row>
  </sheetData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A2" sqref="A2:P6"/>
    </sheetView>
  </sheetViews>
  <sheetFormatPr defaultRowHeight="12.75" x14ac:dyDescent="0.2"/>
  <cols>
    <col min="1" max="1" width="5.140625" customWidth="1"/>
    <col min="2" max="2" width="11" customWidth="1"/>
    <col min="3" max="3" width="10.85546875" customWidth="1"/>
    <col min="4" max="4" width="14.42578125" customWidth="1"/>
    <col min="5" max="5" width="18.140625" customWidth="1"/>
    <col min="6" max="6" width="15.85546875" customWidth="1"/>
    <col min="7" max="7" width="16.140625" customWidth="1"/>
    <col min="9" max="9" width="13.140625" customWidth="1"/>
    <col min="10" max="10" width="12.140625" customWidth="1"/>
    <col min="11" max="11" width="13.42578125" customWidth="1"/>
    <col min="12" max="12" width="14.140625" customWidth="1"/>
    <col min="13" max="13" width="16.85546875" customWidth="1"/>
    <col min="14" max="14" width="15.28515625" customWidth="1"/>
    <col min="15" max="15" width="13.28515625" customWidth="1"/>
    <col min="16" max="16" width="13.5703125" customWidth="1"/>
  </cols>
  <sheetData>
    <row r="2" spans="1:16" ht="20.25" x14ac:dyDescent="0.3">
      <c r="A2" s="1" t="s">
        <v>59</v>
      </c>
      <c r="B2" s="1"/>
      <c r="C2" s="1"/>
    </row>
    <row r="4" spans="1:16" ht="66.75" customHeight="1" x14ac:dyDescent="0.2">
      <c r="A4" s="3" t="s">
        <v>46</v>
      </c>
      <c r="B4" s="3" t="s">
        <v>42</v>
      </c>
      <c r="C4" s="3" t="s">
        <v>43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44</v>
      </c>
      <c r="I4" s="3" t="s">
        <v>53</v>
      </c>
      <c r="J4" s="3" t="s">
        <v>1</v>
      </c>
      <c r="K4" s="3" t="s">
        <v>54</v>
      </c>
      <c r="L4" s="3" t="s">
        <v>55</v>
      </c>
      <c r="M4" s="3" t="s">
        <v>56</v>
      </c>
      <c r="N4" s="3" t="s">
        <v>57</v>
      </c>
      <c r="O4" s="4" t="s">
        <v>58</v>
      </c>
      <c r="P4" s="4" t="s">
        <v>0</v>
      </c>
    </row>
    <row r="5" spans="1:16" ht="27" customHeight="1" x14ac:dyDescent="0.2">
      <c r="A5" s="5">
        <v>1</v>
      </c>
      <c r="B5" s="6" t="s">
        <v>33</v>
      </c>
      <c r="C5" s="5" t="s">
        <v>34</v>
      </c>
      <c r="D5" s="7">
        <v>31291.45</v>
      </c>
      <c r="E5" s="7">
        <v>177.09</v>
      </c>
      <c r="F5" s="8"/>
      <c r="G5" s="7">
        <f>10337.76+5361.17</f>
        <v>15698.93</v>
      </c>
      <c r="H5" s="7"/>
      <c r="I5" s="7">
        <f>8084.51</f>
        <v>8084.51</v>
      </c>
      <c r="J5" s="7">
        <v>9250.09</v>
      </c>
      <c r="K5" s="7">
        <v>4465.42</v>
      </c>
      <c r="L5" s="7">
        <v>13346.75</v>
      </c>
      <c r="M5" s="7">
        <v>11318.32</v>
      </c>
      <c r="N5" s="7">
        <f>1810+812.46</f>
        <v>2622.46</v>
      </c>
      <c r="O5" s="9">
        <f>283.25+2042.54+132.86+4826.13+241.01+336.76</f>
        <v>7862.5500000000011</v>
      </c>
      <c r="P5" s="9">
        <f>SUM(D5:O5)</f>
        <v>104117.57</v>
      </c>
    </row>
    <row r="6" spans="1:16" ht="24.75" customHeight="1" x14ac:dyDescent="0.2">
      <c r="A6" s="5">
        <v>2</v>
      </c>
      <c r="B6" s="6" t="s">
        <v>10</v>
      </c>
      <c r="C6" s="5" t="s">
        <v>11</v>
      </c>
      <c r="D6" s="7">
        <v>30380.15</v>
      </c>
      <c r="E6" s="7">
        <v>175.07</v>
      </c>
      <c r="F6" s="7">
        <v>7273.53</v>
      </c>
      <c r="G6" s="7">
        <v>775.09</v>
      </c>
      <c r="H6" s="7">
        <v>557.5</v>
      </c>
      <c r="I6" s="7"/>
      <c r="J6" s="7">
        <v>7260.24</v>
      </c>
      <c r="K6" s="7">
        <v>6511.31</v>
      </c>
      <c r="L6" s="7">
        <v>13149.99</v>
      </c>
      <c r="M6" s="7">
        <v>11151.46</v>
      </c>
      <c r="N6" s="7">
        <f>718.42+1747.26</f>
        <v>2465.6799999999998</v>
      </c>
      <c r="O6" s="9">
        <f>219+1577.96+196.63+3778.58+348.6+336.76</f>
        <v>6457.5300000000007</v>
      </c>
      <c r="P6" s="9">
        <f>SUM(D6:O6)</f>
        <v>86157.549999999988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 DIRIGENZA 2017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Stefania Di Peco</cp:lastModifiedBy>
  <cp:lastPrinted>2015-10-09T07:52:47Z</cp:lastPrinted>
  <dcterms:created xsi:type="dcterms:W3CDTF">2008-09-18T13:51:42Z</dcterms:created>
  <dcterms:modified xsi:type="dcterms:W3CDTF">2018-02-14T10:50:35Z</dcterms:modified>
</cp:coreProperties>
</file>